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70" windowHeight="8505"/>
  </bookViews>
  <sheets>
    <sheet name="动迁款计算" sheetId="4" r:id="rId1"/>
  </sheets>
  <definedNames>
    <definedName name="_xlnm._FilterDatabase" localSheetId="0" hidden="1">动迁款计算!$B$4:$E$12</definedName>
  </definedNames>
  <calcPr calcId="144525"/>
</workbook>
</file>

<file path=xl/calcChain.xml><?xml version="1.0" encoding="utf-8"?>
<calcChain xmlns="http://schemas.openxmlformats.org/spreadsheetml/2006/main">
  <c r="D45" i="4" l="1"/>
  <c r="C42" i="4"/>
  <c r="C7" i="4" l="1"/>
  <c r="D28" i="4" l="1"/>
  <c r="D29" i="4"/>
  <c r="D39" i="4"/>
  <c r="D33" i="4"/>
  <c r="D34" i="4"/>
  <c r="D32" i="4" l="1"/>
  <c r="D37" i="4"/>
  <c r="D30" i="4"/>
  <c r="D35" i="4"/>
  <c r="C10" i="4"/>
  <c r="C23" i="4"/>
  <c r="C41" i="4" l="1"/>
  <c r="D31" i="4"/>
  <c r="C17" i="4" l="1"/>
  <c r="D4" i="4"/>
  <c r="C15" i="4" l="1"/>
  <c r="C16" i="4"/>
  <c r="C18" i="4" l="1"/>
  <c r="C25" i="4" l="1"/>
  <c r="D46" i="4"/>
  <c r="C24" i="4"/>
</calcChain>
</file>

<file path=xl/sharedStrings.xml><?xml version="1.0" encoding="utf-8"?>
<sst xmlns="http://schemas.openxmlformats.org/spreadsheetml/2006/main" count="80" uniqueCount="80">
  <si>
    <t>基本数据</t>
  </si>
  <si>
    <t>说明</t>
  </si>
  <si>
    <t>房屋性质</t>
  </si>
  <si>
    <t>无证面积（㎡）</t>
  </si>
  <si>
    <t>评估单价（元/㎡）</t>
  </si>
  <si>
    <t>采用价（元/㎡）</t>
  </si>
  <si>
    <t>评估均价（元/㎡）</t>
  </si>
  <si>
    <t>签约期内签约率（％）</t>
  </si>
  <si>
    <t>补偿金额</t>
  </si>
  <si>
    <t>单价</t>
  </si>
  <si>
    <t>总价</t>
  </si>
  <si>
    <t>价格补贴=评估均价×补贴系数（30%）×被征收房屋的建筑面积</t>
    <phoneticPr fontId="19" type="noConversion"/>
  </si>
  <si>
    <t>输入60天签约期内签约率</t>
    <phoneticPr fontId="19" type="noConversion"/>
  </si>
  <si>
    <t>评估价格=被征收房屋的房地产评估单价×被征收房屋的建筑面积</t>
    <phoneticPr fontId="19" type="noConversion"/>
  </si>
  <si>
    <t>套型评估均价=评估均价×补贴面积（15平方）</t>
    <phoneticPr fontId="19" type="noConversion"/>
  </si>
  <si>
    <t>房屋征收补偿合计=评估价格+价格补贴+套型面积补贴</t>
    <phoneticPr fontId="19" type="noConversion"/>
  </si>
  <si>
    <t>评估价格</t>
  </si>
  <si>
    <t>价格补贴</t>
  </si>
  <si>
    <t>套型面积补贴</t>
  </si>
  <si>
    <t>房屋征收补偿合计</t>
  </si>
  <si>
    <t>签约达成奖</t>
  </si>
  <si>
    <t>签约率超过85%，每增加1%，每户奖励5千元。</t>
    <phoneticPr fontId="19" type="noConversion"/>
  </si>
  <si>
    <t xml:space="preserve">   搬家补助费</t>
  </si>
  <si>
    <t>搬家补助费=被征收房屋建筑面积×12元/平方米，不足1千元，按1千元计。</t>
    <phoneticPr fontId="19" type="noConversion"/>
  </si>
  <si>
    <t xml:space="preserve">   家用设施移装补贴</t>
  </si>
  <si>
    <t>每户2千元。</t>
    <phoneticPr fontId="19" type="noConversion"/>
  </si>
  <si>
    <t xml:space="preserve">   不予认定建筑面积的材料费补贴</t>
  </si>
  <si>
    <t>奖励项目</t>
    <phoneticPr fontId="19" type="noConversion"/>
  </si>
  <si>
    <t>每户5万元。</t>
    <phoneticPr fontId="19" type="noConversion"/>
  </si>
  <si>
    <t>选择产权调换房屋为现房的一次性补贴</t>
    <phoneticPr fontId="19" type="noConversion"/>
  </si>
  <si>
    <t>每证5千元。</t>
    <phoneticPr fontId="19" type="noConversion"/>
  </si>
  <si>
    <t>5、均衡实物安置补贴</t>
    <phoneticPr fontId="19" type="noConversion"/>
  </si>
  <si>
    <t>6、其他补贴</t>
    <phoneticPr fontId="19" type="noConversion"/>
  </si>
  <si>
    <t>公房</t>
  </si>
  <si>
    <t>建筑面积&lt;旧里1.54系数换算&gt;（㎡）</t>
    <phoneticPr fontId="19" type="noConversion"/>
  </si>
  <si>
    <t>旧里-1.54，简屋-1.25，新里-1.82，新工房-1.65/1.94/1.98/2，花园住宅-1.83</t>
    <phoneticPr fontId="19" type="noConversion"/>
  </si>
  <si>
    <t>可托底人数</t>
    <phoneticPr fontId="19" type="noConversion"/>
  </si>
  <si>
    <t>托底保障</t>
    <phoneticPr fontId="19" type="noConversion"/>
  </si>
  <si>
    <t>折算单价（杨浦）</t>
    <phoneticPr fontId="19" type="noConversion"/>
  </si>
  <si>
    <t>能否托底</t>
    <phoneticPr fontId="19" type="noConversion"/>
  </si>
  <si>
    <t>各区不一样，可更改</t>
    <phoneticPr fontId="19" type="noConversion"/>
  </si>
  <si>
    <t>按每人22平米X折算单价X人头数</t>
    <phoneticPr fontId="19" type="noConversion"/>
  </si>
  <si>
    <t>判断托底是否划算</t>
    <phoneticPr fontId="19" type="noConversion"/>
  </si>
  <si>
    <t>居住困难人数，参照政策标准</t>
    <phoneticPr fontId="19" type="noConversion"/>
  </si>
  <si>
    <t>评估单价&lt;评估均价，按评估均价。本地块尚无评估价，参照90街坊</t>
    <phoneticPr fontId="19" type="noConversion"/>
  </si>
  <si>
    <t>托底评估</t>
    <phoneticPr fontId="19" type="noConversion"/>
  </si>
  <si>
    <t>居困补贴</t>
    <phoneticPr fontId="19" type="noConversion"/>
  </si>
  <si>
    <t>居困人口可额外分配的补偿额</t>
    <phoneticPr fontId="19" type="noConversion"/>
  </si>
  <si>
    <t>点击可查询动迁政策（公房/私房动迁分配，同住人认定标准，居困托底标准，婚姻家事相关房产及动迁法律问题）咨询</t>
    <phoneticPr fontId="19" type="noConversion"/>
  </si>
  <si>
    <t>请选择房卡或产证记录为“使用面积”还是“建筑面积”。</t>
    <phoneticPr fontId="19" type="noConversion"/>
  </si>
  <si>
    <t>换算系数（默认旧里1.54，可下拉更改）</t>
    <phoneticPr fontId="19" type="noConversion"/>
  </si>
  <si>
    <r>
      <t>录入数据项（</t>
    </r>
    <r>
      <rPr>
        <b/>
        <sz val="11"/>
        <color rgb="FFFF0000"/>
        <rFont val="仿宋"/>
        <family val="3"/>
        <charset val="134"/>
      </rPr>
      <t>白底蓝字可修改</t>
    </r>
    <r>
      <rPr>
        <b/>
        <sz val="11"/>
        <rFont val="仿宋"/>
        <family val="3"/>
        <charset val="134"/>
      </rPr>
      <t>）</t>
    </r>
    <phoneticPr fontId="19" type="noConversion"/>
  </si>
  <si>
    <r>
      <t>按房屋类型和房卡记载换算（</t>
    </r>
    <r>
      <rPr>
        <b/>
        <sz val="11"/>
        <color rgb="FFFF0000"/>
        <rFont val="仿宋"/>
        <family val="3"/>
        <charset val="134"/>
      </rPr>
      <t>使用面积换算成建筑面积</t>
    </r>
    <r>
      <rPr>
        <sz val="11"/>
        <rFont val="仿宋"/>
        <family val="3"/>
        <charset val="134"/>
      </rPr>
      <t>）</t>
    </r>
    <phoneticPr fontId="19" type="noConversion"/>
  </si>
  <si>
    <t>实际使用面积（这里下拉选择！）</t>
  </si>
  <si>
    <t>建筑面积（这里下拉选择！）</t>
    <phoneticPr fontId="19" type="noConversion"/>
  </si>
  <si>
    <r>
      <t>请选择"公房"或"私房"。</t>
    </r>
    <r>
      <rPr>
        <b/>
        <sz val="11"/>
        <color rgb="FFFF0000"/>
        <rFont val="仿宋"/>
        <family val="3"/>
        <charset val="134"/>
      </rPr>
      <t>若为私房，一般选择“建筑面积”</t>
    </r>
    <phoneticPr fontId="19" type="noConversion"/>
  </si>
  <si>
    <t>每户建筑面积×1万元，不足40万元，按40万元计算。</t>
    <phoneticPr fontId="19" type="noConversion"/>
  </si>
  <si>
    <t>按被征收房屋建筑面积，奖励1千元/平方米。</t>
    <phoneticPr fontId="19" type="noConversion"/>
  </si>
  <si>
    <t>1、按期签约奖（购买产权调换房屋）</t>
    <phoneticPr fontId="19" type="noConversion"/>
  </si>
  <si>
    <t xml:space="preserve">   按期签约奖（面积补贴）</t>
    <phoneticPr fontId="19" type="noConversion"/>
  </si>
  <si>
    <t xml:space="preserve">   按期签约奖</t>
    <phoneticPr fontId="19" type="noConversion"/>
  </si>
  <si>
    <t>4. 95%签约奖</t>
    <phoneticPr fontId="19" type="noConversion"/>
  </si>
  <si>
    <t>2、按期搬迁奖</t>
    <phoneticPr fontId="19" type="noConversion"/>
  </si>
  <si>
    <t>按期搬迁，10万元/证。</t>
    <phoneticPr fontId="19" type="noConversion"/>
  </si>
  <si>
    <t>3、集体签约奖</t>
    <phoneticPr fontId="19" type="noConversion"/>
  </si>
  <si>
    <t xml:space="preserve">   促签搬迁奖</t>
    <phoneticPr fontId="19" type="noConversion"/>
  </si>
  <si>
    <t>每户奖励20万元,超过40平，按5000元/平米。</t>
    <phoneticPr fontId="19" type="noConversion"/>
  </si>
  <si>
    <t>达到85%，每户奖励12万元。</t>
    <phoneticPr fontId="19" type="noConversion"/>
  </si>
  <si>
    <t>达90%，每户2万；每增加1%，增加6000元。</t>
    <phoneticPr fontId="19" type="noConversion"/>
  </si>
  <si>
    <t>输入各证的评估单价。</t>
    <phoneticPr fontId="19" type="noConversion"/>
  </si>
  <si>
    <t>输入基地的评估均价（参考138街坊）。</t>
    <phoneticPr fontId="19" type="noConversion"/>
  </si>
  <si>
    <t>注：本表按照签约率95%计算奖励费。因有的项目定价未确定，数值仅供参考，具体数据以征收协议为准。若有错漏，欢迎指正:)</t>
    <phoneticPr fontId="19" type="noConversion"/>
  </si>
  <si>
    <t>私房</t>
    <phoneticPr fontId="19" type="noConversion"/>
  </si>
  <si>
    <t>购买产权调换房屋，每户奖励13000/平米，最低52万元。</t>
    <phoneticPr fontId="19" type="noConversion"/>
  </si>
  <si>
    <t>按期签约，40平米以下，18万元/证；以上按7500元每平米。</t>
    <phoneticPr fontId="19" type="noConversion"/>
  </si>
  <si>
    <t>选择产权调换房屋 补偿合计</t>
    <phoneticPr fontId="19" type="noConversion"/>
  </si>
  <si>
    <t>选择全货币补贴   补偿合计</t>
    <phoneticPr fontId="19" type="noConversion"/>
  </si>
  <si>
    <t>虹口35、36、37、38、39、43、44街坊征收补偿模拟计算表--朱律师 13917722985
（动迁/补偿分配咨询）</t>
    <phoneticPr fontId="19" type="noConversion"/>
  </si>
  <si>
    <t>奖励合计（货币安置）</t>
    <phoneticPr fontId="19" type="noConversion"/>
  </si>
  <si>
    <t>奖励合计（选房安置）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</si>
</sst>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0.0_ "/>
    <numFmt numFmtId="177" formatCode="#,##0.00_ "/>
    <numFmt numFmtId="178" formatCode="#,##0_ "/>
  </numFmts>
  <fonts count="34" x14ac:knownFonts="1"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b/>
      <sz val="11"/>
      <color rgb="FF0000FF"/>
      <name val="仿宋"/>
      <family val="3"/>
      <charset val="134"/>
    </font>
    <font>
      <b/>
      <sz val="11"/>
      <name val="仿宋"/>
      <family val="3"/>
      <charset val="134"/>
    </font>
    <font>
      <sz val="9"/>
      <name val="仿宋"/>
      <family val="3"/>
      <charset val="134"/>
    </font>
    <font>
      <sz val="11"/>
      <color theme="0"/>
      <name val="仿宋"/>
      <family val="3"/>
      <charset val="134"/>
    </font>
    <font>
      <b/>
      <sz val="11"/>
      <color theme="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0000FF"/>
      <name val="仿宋"/>
      <family val="3"/>
      <charset val="134"/>
    </font>
    <font>
      <b/>
      <sz val="14"/>
      <name val="仿宋"/>
      <family val="3"/>
      <charset val="134"/>
    </font>
    <font>
      <u/>
      <sz val="12"/>
      <color theme="10"/>
      <name val="宋体"/>
      <charset val="134"/>
    </font>
    <font>
      <u/>
      <sz val="12"/>
      <color rgb="FFFF0000"/>
      <name val="宋体"/>
      <family val="3"/>
      <charset val="134"/>
    </font>
    <font>
      <b/>
      <sz val="11"/>
      <color rgb="FFFF0000"/>
      <name val="仿宋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F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3" fillId="26" borderId="10" xfId="0" applyNumberFormat="1" applyFont="1" applyFill="1" applyBorder="1" applyAlignment="1" applyProtection="1">
      <alignment horizontal="center" vertical="center"/>
      <protection locked="0"/>
    </xf>
    <xf numFmtId="5" fontId="29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2" fillId="0" borderId="0" xfId="0" applyFont="1" applyBorder="1" applyAlignment="1" applyProtection="1">
      <alignment horizontal="left" vertical="center" indent="1"/>
      <protection hidden="1"/>
    </xf>
    <xf numFmtId="0" fontId="22" fillId="0" borderId="0" xfId="0" applyFont="1" applyBorder="1" applyAlignment="1" applyProtection="1">
      <alignment horizontal="right" vertical="center" inden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horizontal="left" vertical="center" indent="1"/>
      <protection hidden="1"/>
    </xf>
    <xf numFmtId="176" fontId="22" fillId="28" borderId="11" xfId="0" applyNumberFormat="1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vertical="center"/>
      <protection hidden="1"/>
    </xf>
    <xf numFmtId="0" fontId="25" fillId="28" borderId="10" xfId="0" applyFont="1" applyFill="1" applyBorder="1" applyAlignment="1" applyProtection="1">
      <alignment vertical="center"/>
      <protection hidden="1"/>
    </xf>
    <xf numFmtId="0" fontId="22" fillId="28" borderId="12" xfId="0" applyFont="1" applyFill="1" applyBorder="1" applyAlignme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24" borderId="11" xfId="0" applyFont="1" applyFill="1" applyBorder="1" applyAlignment="1" applyProtection="1">
      <alignment horizontal="center" vertical="center"/>
      <protection hidden="1"/>
    </xf>
    <xf numFmtId="0" fontId="22" fillId="28" borderId="15" xfId="0" applyFont="1" applyFill="1" applyBorder="1" applyAlignment="1" applyProtection="1">
      <alignment horizontal="left" vertical="center" indent="1"/>
      <protection hidden="1"/>
    </xf>
    <xf numFmtId="0" fontId="22" fillId="28" borderId="10" xfId="0" applyFont="1" applyFill="1" applyBorder="1" applyAlignment="1" applyProtection="1">
      <alignment horizontal="left" vertical="center"/>
      <protection hidden="1"/>
    </xf>
    <xf numFmtId="0" fontId="24" fillId="28" borderId="15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right" vertical="center" indent="1"/>
      <protection hidden="1"/>
    </xf>
    <xf numFmtId="0" fontId="22" fillId="0" borderId="0" xfId="0" applyFo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right" vertical="center" indent="1"/>
      <protection hidden="1"/>
    </xf>
    <xf numFmtId="0" fontId="22" fillId="28" borderId="10" xfId="0" applyFont="1" applyFill="1" applyBorder="1" applyAlignment="1" applyProtection="1">
      <alignment horizontal="center" vertical="center"/>
      <protection hidden="1"/>
    </xf>
    <xf numFmtId="0" fontId="21" fillId="28" borderId="10" xfId="0" applyFont="1" applyFill="1" applyBorder="1" applyAlignment="1" applyProtection="1">
      <alignment horizontal="left" vertical="center" indent="1"/>
      <protection hidden="1"/>
    </xf>
    <xf numFmtId="5" fontId="22" fillId="28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22" borderId="10" xfId="0" applyFont="1" applyFill="1" applyBorder="1" applyAlignment="1" applyProtection="1">
      <alignment horizontal="left" vertical="center" indent="1"/>
      <protection hidden="1"/>
    </xf>
    <xf numFmtId="0" fontId="22" fillId="22" borderId="10" xfId="0" applyFont="1" applyFill="1" applyBorder="1" applyAlignment="1" applyProtection="1">
      <alignment horizontal="center" vertical="center"/>
      <protection hidden="1"/>
    </xf>
    <xf numFmtId="5" fontId="23" fillId="22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22" borderId="10" xfId="0" applyFont="1" applyFill="1" applyBorder="1" applyAlignment="1" applyProtection="1">
      <alignment horizontal="left" vertical="center"/>
      <protection hidden="1"/>
    </xf>
    <xf numFmtId="0" fontId="22" fillId="7" borderId="13" xfId="0" applyFont="1" applyFill="1" applyBorder="1" applyAlignment="1" applyProtection="1">
      <alignment horizontal="left" vertical="center" indent="1"/>
      <protection hidden="1"/>
    </xf>
    <xf numFmtId="0" fontId="22" fillId="7" borderId="13" xfId="0" applyFont="1" applyFill="1" applyBorder="1" applyAlignment="1" applyProtection="1">
      <alignment horizontal="center" vertical="center"/>
      <protection hidden="1"/>
    </xf>
    <xf numFmtId="5" fontId="23" fillId="7" borderId="13" xfId="0" applyNumberFormat="1" applyFont="1" applyFill="1" applyBorder="1" applyAlignment="1" applyProtection="1">
      <alignment horizontal="right" vertical="center" indent="1"/>
      <protection hidden="1"/>
    </xf>
    <xf numFmtId="0" fontId="22" fillId="7" borderId="13" xfId="0" applyFont="1" applyFill="1" applyBorder="1" applyAlignment="1" applyProtection="1">
      <alignment horizontal="left" vertical="center"/>
      <protection hidden="1"/>
    </xf>
    <xf numFmtId="5" fontId="22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4" fillId="28" borderId="10" xfId="0" applyFont="1" applyFill="1" applyBorder="1" applyAlignment="1" applyProtection="1">
      <alignment vertical="center"/>
      <protection hidden="1"/>
    </xf>
    <xf numFmtId="0" fontId="24" fillId="28" borderId="12" xfId="0" applyFont="1" applyFill="1" applyBorder="1" applyAlignment="1" applyProtection="1">
      <alignment vertical="center"/>
      <protection hidden="1"/>
    </xf>
    <xf numFmtId="0" fontId="22" fillId="28" borderId="13" xfId="0" applyFont="1" applyFill="1" applyBorder="1" applyAlignment="1" applyProtection="1">
      <alignment horizontal="left" vertical="center" indent="1"/>
      <protection hidden="1"/>
    </xf>
    <xf numFmtId="0" fontId="24" fillId="28" borderId="13" xfId="0" applyFont="1" applyFill="1" applyBorder="1" applyAlignment="1" applyProtection="1">
      <alignment vertical="center"/>
      <protection hidden="1"/>
    </xf>
    <xf numFmtId="0" fontId="24" fillId="27" borderId="10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left" vertical="center"/>
      <protection hidden="1"/>
    </xf>
    <xf numFmtId="0" fontId="33" fillId="30" borderId="10" xfId="0" applyFont="1" applyFill="1" applyBorder="1" applyAlignment="1" applyProtection="1">
      <alignment vertical="center"/>
      <protection hidden="1"/>
    </xf>
    <xf numFmtId="0" fontId="26" fillId="0" borderId="0" xfId="0" applyFont="1">
      <alignment vertical="center"/>
    </xf>
    <xf numFmtId="0" fontId="33" fillId="30" borderId="10" xfId="0" applyFont="1" applyFill="1" applyBorder="1" applyAlignment="1" applyProtection="1">
      <alignment horizontal="left" vertical="center" indent="1"/>
      <protection locked="0" hidden="1"/>
    </xf>
    <xf numFmtId="177" fontId="22" fillId="28" borderId="15" xfId="0" applyNumberFormat="1" applyFont="1" applyFill="1" applyBorder="1" applyAlignment="1" applyProtection="1">
      <alignment horizontal="center" vertical="center"/>
      <protection hidden="1"/>
    </xf>
    <xf numFmtId="177" fontId="22" fillId="28" borderId="11" xfId="0" applyNumberFormat="1" applyFont="1" applyFill="1" applyBorder="1" applyAlignment="1" applyProtection="1">
      <alignment horizontal="center" vertical="center"/>
      <protection hidden="1"/>
    </xf>
    <xf numFmtId="177" fontId="24" fillId="26" borderId="15" xfId="0" applyNumberFormat="1" applyFont="1" applyFill="1" applyBorder="1" applyAlignment="1" applyProtection="1">
      <alignment horizontal="center" vertical="center"/>
      <protection locked="0"/>
    </xf>
    <xf numFmtId="177" fontId="24" fillId="26" borderId="11" xfId="0" applyNumberFormat="1" applyFont="1" applyFill="1" applyBorder="1" applyAlignment="1" applyProtection="1">
      <alignment horizontal="center" vertical="center"/>
      <protection locked="0"/>
    </xf>
    <xf numFmtId="0" fontId="20" fillId="27" borderId="18" xfId="0" applyFont="1" applyFill="1" applyBorder="1" applyAlignment="1" applyProtection="1">
      <alignment horizontal="center" vertical="center"/>
      <protection hidden="1"/>
    </xf>
    <xf numFmtId="0" fontId="20" fillId="27" borderId="19" xfId="0" applyFont="1" applyFill="1" applyBorder="1" applyAlignment="1" applyProtection="1">
      <alignment horizontal="center" vertical="center"/>
      <protection hidden="1"/>
    </xf>
    <xf numFmtId="0" fontId="20" fillId="27" borderId="20" xfId="0" applyFont="1" applyFill="1" applyBorder="1" applyAlignment="1" applyProtection="1">
      <alignment horizontal="center" vertical="center"/>
      <protection hidden="1"/>
    </xf>
    <xf numFmtId="5" fontId="22" fillId="28" borderId="10" xfId="0" applyNumberFormat="1" applyFont="1" applyFill="1" applyBorder="1" applyAlignment="1" applyProtection="1">
      <alignment horizontal="center" vertical="center"/>
      <protection hidden="1"/>
    </xf>
    <xf numFmtId="178" fontId="23" fillId="26" borderId="16" xfId="0" applyNumberFormat="1" applyFont="1" applyFill="1" applyBorder="1" applyAlignment="1" applyProtection="1">
      <alignment horizontal="center" vertical="center"/>
      <protection locked="0"/>
    </xf>
    <xf numFmtId="178" fontId="23" fillId="26" borderId="17" xfId="0" applyNumberFormat="1" applyFont="1" applyFill="1" applyBorder="1" applyAlignment="1" applyProtection="1">
      <alignment horizontal="center" vertical="center"/>
      <protection locked="0"/>
    </xf>
    <xf numFmtId="178" fontId="23" fillId="26" borderId="15" xfId="0" applyNumberFormat="1" applyFont="1" applyFill="1" applyBorder="1" applyAlignment="1" applyProtection="1">
      <alignment horizontal="center" vertical="center"/>
      <protection locked="0"/>
    </xf>
    <xf numFmtId="178" fontId="23" fillId="26" borderId="11" xfId="0" applyNumberFormat="1" applyFont="1" applyFill="1" applyBorder="1" applyAlignment="1" applyProtection="1">
      <alignment horizontal="center" vertical="center"/>
      <protection locked="0"/>
    </xf>
    <xf numFmtId="177" fontId="27" fillId="25" borderId="15" xfId="0" applyNumberFormat="1" applyFont="1" applyFill="1" applyBorder="1" applyAlignment="1" applyProtection="1">
      <alignment horizontal="center" vertical="center"/>
      <protection hidden="1"/>
    </xf>
    <xf numFmtId="177" fontId="27" fillId="25" borderId="11" xfId="0" applyNumberFormat="1" applyFont="1" applyFill="1" applyBorder="1" applyAlignment="1" applyProtection="1">
      <alignment horizontal="center" vertical="center"/>
      <protection hidden="1"/>
    </xf>
    <xf numFmtId="0" fontId="22" fillId="0" borderId="22" xfId="0" applyFont="1" applyBorder="1" applyAlignment="1">
      <alignment horizontal="center" vertical="center"/>
    </xf>
    <xf numFmtId="0" fontId="32" fillId="29" borderId="21" xfId="42" applyFont="1" applyFill="1" applyBorder="1" applyAlignment="1" applyProtection="1">
      <alignment horizontal="center" vertical="center"/>
      <protection hidden="1"/>
    </xf>
    <xf numFmtId="5" fontId="24" fillId="28" borderId="15" xfId="0" applyNumberFormat="1" applyFont="1" applyFill="1" applyBorder="1" applyAlignment="1" applyProtection="1">
      <alignment horizontal="right" vertical="center" indent="1"/>
      <protection hidden="1"/>
    </xf>
    <xf numFmtId="5" fontId="24" fillId="28" borderId="11" xfId="0" applyNumberFormat="1" applyFont="1" applyFill="1" applyBorder="1" applyAlignment="1" applyProtection="1">
      <alignment horizontal="right" vertical="center" indent="1"/>
      <protection hidden="1"/>
    </xf>
    <xf numFmtId="0" fontId="24" fillId="27" borderId="15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24" fillId="28" borderId="15" xfId="0" applyFont="1" applyFill="1" applyBorder="1" applyAlignment="1" applyProtection="1">
      <alignment horizontal="center" vertical="center"/>
      <protection hidden="1"/>
    </xf>
    <xf numFmtId="0" fontId="24" fillId="28" borderId="14" xfId="0" applyFont="1" applyFill="1" applyBorder="1" applyAlignment="1" applyProtection="1">
      <alignment horizontal="center" vertical="center"/>
      <protection hidden="1"/>
    </xf>
    <xf numFmtId="0" fontId="24" fillId="28" borderId="11" xfId="0" applyFont="1" applyFill="1" applyBorder="1" applyAlignment="1" applyProtection="1">
      <alignment horizontal="center" vertical="center"/>
      <protection hidden="1"/>
    </xf>
    <xf numFmtId="5" fontId="24" fillId="28" borderId="10" xfId="0" applyNumberFormat="1" applyFont="1" applyFill="1" applyBorder="1" applyAlignment="1" applyProtection="1">
      <alignment horizontal="center" vertical="center"/>
      <protection hidden="1"/>
    </xf>
    <xf numFmtId="177" fontId="23" fillId="26" borderId="15" xfId="0" applyNumberFormat="1" applyFont="1" applyFill="1" applyBorder="1" applyAlignment="1" applyProtection="1">
      <alignment horizontal="center" vertical="center"/>
      <protection locked="0"/>
    </xf>
    <xf numFmtId="177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6" borderId="15" xfId="0" applyNumberFormat="1" applyFont="1" applyFill="1" applyBorder="1" applyAlignment="1" applyProtection="1">
      <alignment horizontal="center" vertical="center"/>
      <protection locked="0"/>
    </xf>
    <xf numFmtId="5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8" borderId="15" xfId="0" applyNumberFormat="1" applyFont="1" applyFill="1" applyBorder="1" applyAlignment="1" applyProtection="1">
      <alignment horizontal="center" vertical="center"/>
      <protection hidden="1"/>
    </xf>
    <xf numFmtId="5" fontId="23" fillId="28" borderId="11" xfId="0" applyNumberFormat="1" applyFont="1" applyFill="1" applyBorder="1" applyAlignment="1" applyProtection="1">
      <alignment horizontal="center" vertical="center"/>
      <protection hidden="1"/>
    </xf>
    <xf numFmtId="9" fontId="28" fillId="28" borderId="15" xfId="0" applyNumberFormat="1" applyFont="1" applyFill="1" applyBorder="1" applyAlignment="1" applyProtection="1">
      <alignment horizontal="center" vertical="center"/>
      <protection hidden="1"/>
    </xf>
    <xf numFmtId="9" fontId="28" fillId="28" borderId="11" xfId="0" applyNumberFormat="1" applyFont="1" applyFill="1" applyBorder="1" applyAlignment="1" applyProtection="1">
      <alignment horizontal="center" vertical="center"/>
      <protection hidden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超链接" xfId="42" builtinId="8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2"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1E03BD"/>
      <color rgb="FF0000FF"/>
      <color rgb="FFCCECFF"/>
      <color rgb="FFEBCC15"/>
      <color rgb="FFC8C8C8"/>
      <color rgb="FF99EC04"/>
      <color rgb="FFCCFFCC"/>
      <color rgb="FF9AF000"/>
      <color rgb="FF66CCFF"/>
      <color rgb="FF9396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lvshi01.com/lvsuolianxi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112571</xdr:rowOff>
    </xdr:from>
    <xdr:to>
      <xdr:col>2</xdr:col>
      <xdr:colOff>147202</xdr:colOff>
      <xdr:row>5</xdr:row>
      <xdr:rowOff>8659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0795" y="1913662"/>
          <a:ext cx="147202" cy="1472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4</xdr:col>
      <xdr:colOff>3576203</xdr:colOff>
      <xdr:row>0</xdr:row>
      <xdr:rowOff>77931</xdr:rowOff>
    </xdr:from>
    <xdr:to>
      <xdr:col>4</xdr:col>
      <xdr:colOff>4528703</xdr:colOff>
      <xdr:row>0</xdr:row>
      <xdr:rowOff>1030431</xdr:rowOff>
    </xdr:to>
    <xdr:pic>
      <xdr:nvPicPr>
        <xdr:cNvPr id="2" name="图片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112" y="779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458936</xdr:colOff>
      <xdr:row>1</xdr:row>
      <xdr:rowOff>8157</xdr:rowOff>
    </xdr:from>
    <xdr:to>
      <xdr:col>1</xdr:col>
      <xdr:colOff>822617</xdr:colOff>
      <xdr:row>1</xdr:row>
      <xdr:rowOff>216479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63" y="1055907"/>
          <a:ext cx="363681" cy="208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vshi01.com/search/&#21160;&#368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showGridLines="0" tabSelected="1" topLeftCell="A4" zoomScale="110" zoomScaleNormal="110" zoomScaleSheetLayoutView="100" workbookViewId="0">
      <selection activeCell="D30" sqref="D30"/>
    </sheetView>
  </sheetViews>
  <sheetFormatPr defaultColWidth="9" defaultRowHeight="13.5" x14ac:dyDescent="0.15"/>
  <cols>
    <col min="1" max="1" width="1.625" style="1" customWidth="1"/>
    <col min="2" max="2" width="36.5" style="4" customWidth="1"/>
    <col min="3" max="3" width="16.75" style="3" customWidth="1"/>
    <col min="4" max="4" width="16.625" style="1" customWidth="1"/>
    <col min="5" max="5" width="60.625" style="2" customWidth="1"/>
    <col min="6" max="16384" width="9" style="1"/>
  </cols>
  <sheetData>
    <row r="1" spans="2:7" ht="82.5" customHeight="1" x14ac:dyDescent="0.15">
      <c r="B1" s="71" t="s">
        <v>77</v>
      </c>
      <c r="C1" s="72"/>
      <c r="D1" s="72"/>
      <c r="E1" s="72"/>
    </row>
    <row r="2" spans="2:7" ht="19.5" customHeight="1" x14ac:dyDescent="0.15">
      <c r="B2" s="66" t="s">
        <v>48</v>
      </c>
      <c r="C2" s="66"/>
      <c r="D2" s="66"/>
      <c r="E2" s="66"/>
    </row>
    <row r="3" spans="2:7" ht="20.100000000000001" customHeight="1" x14ac:dyDescent="0.15">
      <c r="B3" s="45" t="s">
        <v>0</v>
      </c>
      <c r="C3" s="69" t="s">
        <v>51</v>
      </c>
      <c r="D3" s="70"/>
      <c r="E3" s="46" t="s">
        <v>1</v>
      </c>
    </row>
    <row r="4" spans="2:7" ht="20.100000000000001" customHeight="1" x14ac:dyDescent="0.15">
      <c r="B4" s="11" t="s">
        <v>2</v>
      </c>
      <c r="C4" s="5" t="s">
        <v>33</v>
      </c>
      <c r="D4" s="12">
        <f>IF(C4="公房",0.8,1)</f>
        <v>0.8</v>
      </c>
      <c r="E4" s="41" t="s">
        <v>55</v>
      </c>
    </row>
    <row r="5" spans="2:7" ht="20.100000000000001" customHeight="1" x14ac:dyDescent="0.15">
      <c r="B5" s="50" t="s">
        <v>53</v>
      </c>
      <c r="C5" s="77">
        <v>20</v>
      </c>
      <c r="D5" s="78"/>
      <c r="E5" s="48" t="s">
        <v>49</v>
      </c>
      <c r="G5" s="49" t="s">
        <v>72</v>
      </c>
    </row>
    <row r="6" spans="2:7" ht="20.100000000000001" customHeight="1" x14ac:dyDescent="0.15">
      <c r="B6" s="11" t="s">
        <v>50</v>
      </c>
      <c r="C6" s="53">
        <v>1.54</v>
      </c>
      <c r="D6" s="54"/>
      <c r="E6" s="14" t="s">
        <v>35</v>
      </c>
      <c r="G6" s="49" t="s">
        <v>54</v>
      </c>
    </row>
    <row r="7" spans="2:7" ht="20.100000000000001" customHeight="1" x14ac:dyDescent="0.15">
      <c r="B7" s="11" t="s">
        <v>34</v>
      </c>
      <c r="C7" s="51">
        <f>IF(OR(B5="建筑面积（这里下拉选择！）",C4=G5),C5,C5*1.54)</f>
        <v>30.8</v>
      </c>
      <c r="D7" s="52"/>
      <c r="E7" s="13" t="s">
        <v>52</v>
      </c>
    </row>
    <row r="8" spans="2:7" ht="20.100000000000001" customHeight="1" x14ac:dyDescent="0.15">
      <c r="B8" s="11" t="s">
        <v>3</v>
      </c>
      <c r="C8" s="51">
        <v>0</v>
      </c>
      <c r="D8" s="52"/>
      <c r="E8" s="13"/>
    </row>
    <row r="9" spans="2:7" ht="20.100000000000001" customHeight="1" x14ac:dyDescent="0.15">
      <c r="B9" s="11" t="s">
        <v>4</v>
      </c>
      <c r="C9" s="79">
        <v>51779</v>
      </c>
      <c r="D9" s="80"/>
      <c r="E9" s="13" t="s">
        <v>69</v>
      </c>
    </row>
    <row r="10" spans="2:7" ht="20.100000000000001" customHeight="1" x14ac:dyDescent="0.15">
      <c r="B10" s="11" t="s">
        <v>5</v>
      </c>
      <c r="C10" s="81">
        <f>MAX(C9,C11)</f>
        <v>51779</v>
      </c>
      <c r="D10" s="82"/>
      <c r="E10" s="42" t="s">
        <v>44</v>
      </c>
    </row>
    <row r="11" spans="2:7" ht="20.100000000000001" customHeight="1" x14ac:dyDescent="0.15">
      <c r="B11" s="11" t="s">
        <v>6</v>
      </c>
      <c r="C11" s="79">
        <v>51779</v>
      </c>
      <c r="D11" s="80"/>
      <c r="E11" s="15" t="s">
        <v>70</v>
      </c>
    </row>
    <row r="12" spans="2:7" ht="20.100000000000001" customHeight="1" x14ac:dyDescent="0.15">
      <c r="B12" s="11" t="s">
        <v>7</v>
      </c>
      <c r="C12" s="83">
        <v>0.95</v>
      </c>
      <c r="D12" s="84"/>
      <c r="E12" s="13" t="s">
        <v>12</v>
      </c>
    </row>
    <row r="13" spans="2:7" ht="9.9499999999999993" customHeight="1" x14ac:dyDescent="0.15">
      <c r="B13" s="7"/>
      <c r="C13" s="8"/>
      <c r="D13" s="16"/>
      <c r="E13" s="9"/>
    </row>
    <row r="14" spans="2:7" ht="20.100000000000001" customHeight="1" x14ac:dyDescent="0.15">
      <c r="B14" s="73" t="s">
        <v>8</v>
      </c>
      <c r="C14" s="74"/>
      <c r="D14" s="75"/>
      <c r="E14" s="17"/>
    </row>
    <row r="15" spans="2:7" ht="20.100000000000001" customHeight="1" x14ac:dyDescent="0.15">
      <c r="B15" s="18" t="s">
        <v>16</v>
      </c>
      <c r="C15" s="58">
        <f>C10*C7*D4</f>
        <v>1275834.56</v>
      </c>
      <c r="D15" s="58"/>
      <c r="E15" s="19" t="s">
        <v>13</v>
      </c>
    </row>
    <row r="16" spans="2:7" ht="20.100000000000001" customHeight="1" x14ac:dyDescent="0.15">
      <c r="B16" s="18" t="s">
        <v>17</v>
      </c>
      <c r="C16" s="58">
        <f>C11*30%*C7</f>
        <v>478437.95999999996</v>
      </c>
      <c r="D16" s="58"/>
      <c r="E16" s="19" t="s">
        <v>11</v>
      </c>
    </row>
    <row r="17" spans="2:5" ht="20.100000000000001" customHeight="1" x14ac:dyDescent="0.15">
      <c r="B17" s="18" t="s">
        <v>18</v>
      </c>
      <c r="C17" s="58">
        <f>C11*15</f>
        <v>776685</v>
      </c>
      <c r="D17" s="58"/>
      <c r="E17" s="19" t="s">
        <v>14</v>
      </c>
    </row>
    <row r="18" spans="2:5" ht="20.100000000000001" customHeight="1" x14ac:dyDescent="0.15">
      <c r="B18" s="20" t="s">
        <v>19</v>
      </c>
      <c r="C18" s="76">
        <f>C17+C16+C15</f>
        <v>2530957.52</v>
      </c>
      <c r="D18" s="76"/>
      <c r="E18" s="19" t="s">
        <v>15</v>
      </c>
    </row>
    <row r="19" spans="2:5" ht="8.25" customHeight="1" thickBot="1" x14ac:dyDescent="0.2">
      <c r="B19" s="21"/>
      <c r="C19" s="21"/>
      <c r="D19" s="21"/>
      <c r="E19" s="22"/>
    </row>
    <row r="20" spans="2:5" ht="19.5" customHeight="1" thickBot="1" x14ac:dyDescent="0.2">
      <c r="B20" s="55" t="s">
        <v>45</v>
      </c>
      <c r="C20" s="56"/>
      <c r="D20" s="56"/>
      <c r="E20" s="57"/>
    </row>
    <row r="21" spans="2:5" ht="20.100000000000001" customHeight="1" x14ac:dyDescent="0.15">
      <c r="B21" s="43" t="s">
        <v>36</v>
      </c>
      <c r="C21" s="59">
        <v>3</v>
      </c>
      <c r="D21" s="60"/>
      <c r="E21" s="44" t="s">
        <v>43</v>
      </c>
    </row>
    <row r="22" spans="2:5" ht="20.100000000000001" customHeight="1" x14ac:dyDescent="0.15">
      <c r="B22" s="11" t="s">
        <v>38</v>
      </c>
      <c r="C22" s="61">
        <v>21500</v>
      </c>
      <c r="D22" s="62"/>
      <c r="E22" s="13" t="s">
        <v>40</v>
      </c>
    </row>
    <row r="23" spans="2:5" ht="20.100000000000001" customHeight="1" x14ac:dyDescent="0.15">
      <c r="B23" s="11" t="s">
        <v>37</v>
      </c>
      <c r="C23" s="58">
        <f>C21*C22*22</f>
        <v>1419000</v>
      </c>
      <c r="D23" s="58"/>
      <c r="E23" s="13" t="s">
        <v>41</v>
      </c>
    </row>
    <row r="24" spans="2:5" ht="20.100000000000001" customHeight="1" x14ac:dyDescent="0.15">
      <c r="B24" s="23" t="s">
        <v>39</v>
      </c>
      <c r="C24" s="63" t="str">
        <f>IF(C23&gt;C18,"托底划算","不能托底")</f>
        <v>不能托底</v>
      </c>
      <c r="D24" s="64"/>
      <c r="E24" s="47" t="s">
        <v>42</v>
      </c>
    </row>
    <row r="25" spans="2:5" ht="20.100000000000001" customHeight="1" x14ac:dyDescent="0.15">
      <c r="B25" s="23" t="s">
        <v>46</v>
      </c>
      <c r="C25" s="58">
        <f>IF((C23-C18)&gt;0,(C23-C18),0)</f>
        <v>0</v>
      </c>
      <c r="D25" s="58"/>
      <c r="E25" s="47" t="s">
        <v>47</v>
      </c>
    </row>
    <row r="26" spans="2:5" ht="9.9499999999999993" customHeight="1" x14ac:dyDescent="0.15">
      <c r="B26" s="24"/>
      <c r="C26" s="25"/>
      <c r="D26" s="26"/>
      <c r="E26" s="9"/>
    </row>
    <row r="27" spans="2:5" ht="20.100000000000001" customHeight="1" x14ac:dyDescent="0.15">
      <c r="B27" s="10" t="s">
        <v>27</v>
      </c>
      <c r="C27" s="27" t="s">
        <v>9</v>
      </c>
      <c r="D27" s="10" t="s">
        <v>10</v>
      </c>
      <c r="E27" s="28"/>
    </row>
    <row r="28" spans="2:5" ht="20.100000000000001" customHeight="1" x14ac:dyDescent="0.15">
      <c r="B28" s="29" t="s">
        <v>58</v>
      </c>
      <c r="C28" s="6">
        <v>520000</v>
      </c>
      <c r="D28" s="30">
        <f>MAX(C28,C7*13000)</f>
        <v>520000</v>
      </c>
      <c r="E28" s="19" t="s">
        <v>73</v>
      </c>
    </row>
    <row r="29" spans="2:5" ht="20.100000000000001" customHeight="1" x14ac:dyDescent="0.15">
      <c r="B29" s="29" t="s">
        <v>60</v>
      </c>
      <c r="C29" s="6">
        <v>180000</v>
      </c>
      <c r="D29" s="30">
        <f>IF(C7&lt;40,C29,C7*7500)</f>
        <v>180000</v>
      </c>
      <c r="E29" s="19" t="s">
        <v>74</v>
      </c>
    </row>
    <row r="30" spans="2:5" ht="20.100000000000001" customHeight="1" x14ac:dyDescent="0.15">
      <c r="B30" s="29" t="s">
        <v>59</v>
      </c>
      <c r="C30" s="6">
        <v>1000</v>
      </c>
      <c r="D30" s="30">
        <f>C30*C7</f>
        <v>30800</v>
      </c>
      <c r="E30" s="19" t="s">
        <v>57</v>
      </c>
    </row>
    <row r="31" spans="2:5" ht="20.100000000000001" customHeight="1" x14ac:dyDescent="0.15">
      <c r="B31" s="29" t="s">
        <v>62</v>
      </c>
      <c r="C31" s="6">
        <v>100000</v>
      </c>
      <c r="D31" s="30">
        <f>C31</f>
        <v>100000</v>
      </c>
      <c r="E31" s="19" t="s">
        <v>63</v>
      </c>
    </row>
    <row r="32" spans="2:5" ht="20.100000000000001" customHeight="1" x14ac:dyDescent="0.15">
      <c r="B32" s="29" t="s">
        <v>65</v>
      </c>
      <c r="C32" s="6">
        <v>200000</v>
      </c>
      <c r="D32" s="30">
        <f>MAX(C32,C7*5000)</f>
        <v>200000</v>
      </c>
      <c r="E32" s="19" t="s">
        <v>66</v>
      </c>
    </row>
    <row r="33" spans="2:5" ht="20.100000000000001" customHeight="1" x14ac:dyDescent="0.15">
      <c r="B33" s="29" t="s">
        <v>64</v>
      </c>
      <c r="C33" s="6">
        <v>120000</v>
      </c>
      <c r="D33" s="30">
        <f>C33</f>
        <v>120000</v>
      </c>
      <c r="E33" s="19" t="s">
        <v>67</v>
      </c>
    </row>
    <row r="34" spans="2:5" ht="20.100000000000001" customHeight="1" x14ac:dyDescent="0.15">
      <c r="B34" s="29" t="s">
        <v>61</v>
      </c>
      <c r="C34" s="6">
        <v>50000</v>
      </c>
      <c r="D34" s="30">
        <f>C34</f>
        <v>50000</v>
      </c>
      <c r="E34" s="19" t="s">
        <v>68</v>
      </c>
    </row>
    <row r="35" spans="2:5" ht="20.100000000000001" customHeight="1" x14ac:dyDescent="0.15">
      <c r="B35" s="29" t="s">
        <v>31</v>
      </c>
      <c r="C35" s="6">
        <v>10000</v>
      </c>
      <c r="D35" s="30">
        <f>IF(C35*C7&gt;400000,C35*C7,400000)</f>
        <v>400000</v>
      </c>
      <c r="E35" s="19" t="s">
        <v>56</v>
      </c>
    </row>
    <row r="36" spans="2:5" ht="20.100000000000001" customHeight="1" x14ac:dyDescent="0.15">
      <c r="B36" s="29" t="s">
        <v>32</v>
      </c>
      <c r="C36" s="6"/>
      <c r="D36" s="40"/>
      <c r="E36" s="19"/>
    </row>
    <row r="37" spans="2:5" ht="20.100000000000001" customHeight="1" x14ac:dyDescent="0.15">
      <c r="B37" s="29" t="s">
        <v>22</v>
      </c>
      <c r="C37" s="6">
        <v>15</v>
      </c>
      <c r="D37" s="30">
        <f>IF(C37*C7&gt;700,C37*C7,700)</f>
        <v>700</v>
      </c>
      <c r="E37" s="19" t="s">
        <v>23</v>
      </c>
    </row>
    <row r="38" spans="2:5" ht="20.100000000000001" customHeight="1" x14ac:dyDescent="0.15">
      <c r="B38" s="29" t="s">
        <v>24</v>
      </c>
      <c r="C38" s="6">
        <v>2000</v>
      </c>
      <c r="D38" s="30">
        <v>2000</v>
      </c>
      <c r="E38" s="19" t="s">
        <v>25</v>
      </c>
    </row>
    <row r="39" spans="2:5" ht="19.5" hidden="1" customHeight="1" x14ac:dyDescent="0.15">
      <c r="B39" s="29" t="s">
        <v>26</v>
      </c>
      <c r="C39" s="6">
        <v>0</v>
      </c>
      <c r="D39" s="30">
        <f>C39</f>
        <v>0</v>
      </c>
      <c r="E39" s="19" t="s">
        <v>28</v>
      </c>
    </row>
    <row r="40" spans="2:5" ht="20.100000000000001" hidden="1" customHeight="1" x14ac:dyDescent="0.15">
      <c r="B40" s="29" t="s">
        <v>20</v>
      </c>
      <c r="C40" s="6">
        <v>0</v>
      </c>
      <c r="D40" s="30">
        <v>0</v>
      </c>
      <c r="E40" s="19" t="s">
        <v>21</v>
      </c>
    </row>
    <row r="41" spans="2:5" ht="20.100000000000001" customHeight="1" x14ac:dyDescent="0.15">
      <c r="B41" s="23" t="s">
        <v>78</v>
      </c>
      <c r="C41" s="67">
        <f>SUM(D28:D40)-D28</f>
        <v>1083500</v>
      </c>
      <c r="D41" s="68"/>
      <c r="E41" s="19"/>
    </row>
    <row r="42" spans="2:5" ht="18.75" customHeight="1" x14ac:dyDescent="0.15">
      <c r="B42" s="23" t="s">
        <v>79</v>
      </c>
      <c r="C42" s="67">
        <f>SUM(D28:D40)-D29-D35</f>
        <v>1023500</v>
      </c>
      <c r="D42" s="68"/>
      <c r="E42" s="19"/>
    </row>
    <row r="43" spans="2:5" ht="20.100000000000001" hidden="1" customHeight="1" x14ac:dyDescent="0.15">
      <c r="B43" s="11" t="s">
        <v>29</v>
      </c>
      <c r="C43" s="30">
        <v>0</v>
      </c>
      <c r="D43" s="30">
        <v>0</v>
      </c>
      <c r="E43" s="19" t="s">
        <v>30</v>
      </c>
    </row>
    <row r="44" spans="2:5" ht="9.9499999999999993" customHeight="1" x14ac:dyDescent="0.15">
      <c r="B44" s="24"/>
      <c r="C44" s="25"/>
      <c r="D44" s="25"/>
      <c r="E44" s="31"/>
    </row>
    <row r="45" spans="2:5" ht="20.100000000000001" customHeight="1" x14ac:dyDescent="0.15">
      <c r="B45" s="32" t="s">
        <v>75</v>
      </c>
      <c r="C45" s="33"/>
      <c r="D45" s="34">
        <f>SUM(IF(C18&gt;C23,C18,C23),C42)</f>
        <v>3554457.52</v>
      </c>
      <c r="E45" s="35"/>
    </row>
    <row r="46" spans="2:5" ht="20.100000000000001" customHeight="1" x14ac:dyDescent="0.15">
      <c r="B46" s="36" t="s">
        <v>76</v>
      </c>
      <c r="C46" s="37"/>
      <c r="D46" s="38">
        <f>SUM(IF(C18&gt;C23,C18,C23),C41)</f>
        <v>3614457.52</v>
      </c>
      <c r="E46" s="39"/>
    </row>
    <row r="47" spans="2:5" ht="23.25" customHeight="1" x14ac:dyDescent="0.15">
      <c r="B47" s="65" t="s">
        <v>71</v>
      </c>
      <c r="C47" s="65"/>
      <c r="D47" s="65"/>
      <c r="E47" s="65"/>
    </row>
  </sheetData>
  <sheetProtection password="9E68" sheet="1" objects="1" scenarios="1"/>
  <mergeCells count="25">
    <mergeCell ref="C42:D42"/>
    <mergeCell ref="B47:E47"/>
    <mergeCell ref="B2:E2"/>
    <mergeCell ref="C41:D41"/>
    <mergeCell ref="C3:D3"/>
    <mergeCell ref="B1:E1"/>
    <mergeCell ref="B14:D14"/>
    <mergeCell ref="C15:D15"/>
    <mergeCell ref="C16:D16"/>
    <mergeCell ref="C17:D17"/>
    <mergeCell ref="C18:D18"/>
    <mergeCell ref="C5:D5"/>
    <mergeCell ref="C9:D9"/>
    <mergeCell ref="C10:D10"/>
    <mergeCell ref="C11:D11"/>
    <mergeCell ref="C12:D12"/>
    <mergeCell ref="C7:D7"/>
    <mergeCell ref="C8:D8"/>
    <mergeCell ref="C6:D6"/>
    <mergeCell ref="B20:E20"/>
    <mergeCell ref="C25:D25"/>
    <mergeCell ref="C21:D21"/>
    <mergeCell ref="C22:D22"/>
    <mergeCell ref="C23:D23"/>
    <mergeCell ref="C24:D24"/>
  </mergeCells>
  <phoneticPr fontId="19" type="noConversion"/>
  <conditionalFormatting sqref="C6:D6">
    <cfRule type="expression" dxfId="1" priority="2">
      <formula>OR($B$5=$G$6,$C$4=$G$5)</formula>
    </cfRule>
  </conditionalFormatting>
  <conditionalFormatting sqref="B5">
    <cfRule type="expression" dxfId="0" priority="1">
      <formula>$C$4=$G$5</formula>
    </cfRule>
  </conditionalFormatting>
  <dataValidations count="4">
    <dataValidation type="list" allowBlank="1" showInputMessage="1" showErrorMessage="1" sqref="C4">
      <formula1>"公房,私房"</formula1>
    </dataValidation>
    <dataValidation type="list" allowBlank="1" showInputMessage="1" showErrorMessage="1" prompt="请选择“建筑面积”还是“居住面积”" sqref="B5">
      <formula1>"实际使用面积（这里下拉选择！）,建筑面积（这里下拉选择！）"</formula1>
    </dataValidation>
    <dataValidation allowBlank="1" showInputMessage="1" showErrorMessage="1" prompt="请选择“建筑面积”还是“居住面积”" sqref="B6"/>
    <dataValidation type="list" allowBlank="1" showInputMessage="1" showErrorMessage="1" sqref="C6:D6">
      <formula1>"1.54,1.25,1.65,1.82,1.83,1.94,1.98,2"</formula1>
    </dataValidation>
  </dataValidations>
  <hyperlinks>
    <hyperlink ref="B2:E2" r:id="rId1" display="点击可查询动迁政策（公房/私房动迁分配，同住人认定标准，居困托底标准，婚姻家事相关房产及动迁）咨询"/>
  </hyperlinks>
  <pageMargins left="0.47222222222222221" right="0.47222222222222221" top="0.98402777777777772" bottom="0.98402777777777772" header="0.51111111111111107" footer="0.51111111111111107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动迁款计算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cp:revision/>
  <dcterms:created xsi:type="dcterms:W3CDTF">2013-09-04T03:33:33Z</dcterms:created>
  <dcterms:modified xsi:type="dcterms:W3CDTF">2020-05-15T05:42:04Z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